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-15" windowWidth="13935" windowHeight="12645"/>
  </bookViews>
  <sheets>
    <sheet name="Acumulado" sheetId="6" r:id="rId1"/>
  </sheets>
  <calcPr calcId="145621"/>
</workbook>
</file>

<file path=xl/calcChain.xml><?xml version="1.0" encoding="utf-8"?>
<calcChain xmlns="http://schemas.openxmlformats.org/spreadsheetml/2006/main">
  <c r="R19" i="6" l="1"/>
  <c r="R16" i="6"/>
  <c r="R15" i="6"/>
  <c r="Q12" i="6"/>
  <c r="P31" i="6"/>
  <c r="P28" i="6"/>
  <c r="P20" i="6"/>
  <c r="P19" i="6"/>
  <c r="P18" i="6"/>
  <c r="R18" i="6" s="1"/>
  <c r="P16" i="6"/>
  <c r="P15" i="6"/>
  <c r="P14" i="6"/>
  <c r="R14" i="6" s="1"/>
  <c r="O25" i="6"/>
  <c r="O35" i="6"/>
  <c r="O33" i="6"/>
  <c r="O30" i="6"/>
  <c r="O29" i="6"/>
  <c r="O36" i="6" s="1"/>
  <c r="O21" i="6"/>
  <c r="O38" i="6" l="1"/>
  <c r="N35" i="6"/>
  <c r="N33" i="6"/>
  <c r="P33" i="6" s="1"/>
  <c r="N29" i="6"/>
  <c r="N25" i="6"/>
  <c r="N36" i="6" s="1"/>
  <c r="N21" i="6"/>
  <c r="N38" i="6" s="1"/>
  <c r="H13" i="6" l="1"/>
  <c r="P13" i="6" s="1"/>
  <c r="R13" i="6" s="1"/>
  <c r="M36" i="6" l="1"/>
  <c r="M29" i="6"/>
  <c r="M25" i="6"/>
  <c r="M24" i="6"/>
  <c r="M21" i="6"/>
  <c r="M38" i="6" l="1"/>
  <c r="L34" i="6"/>
  <c r="L32" i="6"/>
  <c r="P32" i="6" s="1"/>
  <c r="L36" i="6"/>
  <c r="L21" i="6"/>
  <c r="L38" i="6" l="1"/>
  <c r="Q32" i="6"/>
  <c r="R32" i="6"/>
  <c r="K35" i="6"/>
  <c r="K34" i="6"/>
  <c r="P34" i="6" s="1"/>
  <c r="R34" i="6" s="1"/>
  <c r="K17" i="6"/>
  <c r="K36" i="6"/>
  <c r="B29" i="6"/>
  <c r="B36" i="6" s="1"/>
  <c r="I29" i="6"/>
  <c r="H29" i="6"/>
  <c r="F29" i="6"/>
  <c r="P29" i="6" s="1"/>
  <c r="J35" i="6"/>
  <c r="J30" i="6"/>
  <c r="P30" i="6" s="1"/>
  <c r="J21" i="6"/>
  <c r="I26" i="6"/>
  <c r="Q13" i="6"/>
  <c r="E36" i="6"/>
  <c r="D36" i="6"/>
  <c r="Q33" i="6"/>
  <c r="Q31" i="6"/>
  <c r="R30" i="6"/>
  <c r="R28" i="6"/>
  <c r="H27" i="6"/>
  <c r="F27" i="6"/>
  <c r="F26" i="6"/>
  <c r="H25" i="6"/>
  <c r="G25" i="6"/>
  <c r="G36" i="6" s="1"/>
  <c r="F25" i="6"/>
  <c r="P25" i="6" s="1"/>
  <c r="H24" i="6"/>
  <c r="P24" i="6" s="1"/>
  <c r="I21" i="6"/>
  <c r="H21" i="6"/>
  <c r="G21" i="6"/>
  <c r="F21" i="6"/>
  <c r="E21" i="6"/>
  <c r="D21" i="6"/>
  <c r="B21" i="6"/>
  <c r="Q19" i="6"/>
  <c r="Q15" i="6"/>
  <c r="K21" i="6" l="1"/>
  <c r="K38" i="6" s="1"/>
  <c r="P17" i="6"/>
  <c r="J36" i="6"/>
  <c r="P35" i="6"/>
  <c r="R35" i="6" s="1"/>
  <c r="P26" i="6"/>
  <c r="P27" i="6"/>
  <c r="E11" i="6"/>
  <c r="F11" i="6" s="1"/>
  <c r="B38" i="6"/>
  <c r="I36" i="6"/>
  <c r="G38" i="6"/>
  <c r="H36" i="6"/>
  <c r="H38" i="6" s="1"/>
  <c r="J38" i="6"/>
  <c r="I38" i="6"/>
  <c r="R26" i="6"/>
  <c r="P21" i="6"/>
  <c r="Q14" i="6"/>
  <c r="Q16" i="6"/>
  <c r="Q18" i="6"/>
  <c r="Q28" i="6"/>
  <c r="Q30" i="6"/>
  <c r="R31" i="6"/>
  <c r="R33" i="6"/>
  <c r="F36" i="6"/>
  <c r="F38" i="6" s="1"/>
  <c r="R17" i="6" l="1"/>
  <c r="Q17" i="6"/>
  <c r="Q35" i="6"/>
  <c r="Q26" i="6"/>
  <c r="R21" i="6"/>
  <c r="G11" i="6"/>
  <c r="H11" i="6" s="1"/>
  <c r="I11" i="6" s="1"/>
  <c r="J11" i="6" s="1"/>
  <c r="K11" i="6" s="1"/>
  <c r="L11" i="6" s="1"/>
  <c r="M11" i="6" s="1"/>
  <c r="N11" i="6" s="1"/>
  <c r="O11" i="6" s="1"/>
  <c r="Q21" i="6"/>
  <c r="Q29" i="6"/>
  <c r="R29" i="6"/>
  <c r="R24" i="6"/>
  <c r="Q24" i="6"/>
  <c r="Q25" i="6"/>
  <c r="R25" i="6"/>
  <c r="Q27" i="6"/>
  <c r="R27" i="6"/>
  <c r="P36" i="6"/>
  <c r="P38" i="6" s="1"/>
  <c r="Q38" i="6" s="1"/>
  <c r="Q36" i="6" l="1"/>
  <c r="R36" i="6"/>
  <c r="R38" i="6" s="1"/>
</calcChain>
</file>

<file path=xl/sharedStrings.xml><?xml version="1.0" encoding="utf-8"?>
<sst xmlns="http://schemas.openxmlformats.org/spreadsheetml/2006/main" count="115" uniqueCount="66">
  <si>
    <t>Ene.</t>
  </si>
  <si>
    <t>Feb.</t>
  </si>
  <si>
    <t>Mar.</t>
  </si>
  <si>
    <t>Abr.</t>
  </si>
  <si>
    <t>Jun.</t>
  </si>
  <si>
    <t>Jul.</t>
  </si>
  <si>
    <t>Ago.</t>
  </si>
  <si>
    <t>May</t>
  </si>
  <si>
    <t>Sep.</t>
  </si>
  <si>
    <t>Total</t>
  </si>
  <si>
    <t>Aporte Socios</t>
  </si>
  <si>
    <t xml:space="preserve"> </t>
  </si>
  <si>
    <t>Coopeuch</t>
  </si>
  <si>
    <t>VTR</t>
  </si>
  <si>
    <t>MOVISTAR</t>
  </si>
  <si>
    <t>FALP</t>
  </si>
  <si>
    <t>Total x Mes</t>
  </si>
  <si>
    <t>Egresos</t>
  </si>
  <si>
    <t>Sueldo Secretaria</t>
  </si>
  <si>
    <t>Ap. Socios ANEF</t>
  </si>
  <si>
    <t>Honor. Abogado</t>
  </si>
  <si>
    <t>Honor. Web</t>
  </si>
  <si>
    <t>Regalo Aniversar.</t>
  </si>
  <si>
    <t>Regionales</t>
  </si>
  <si>
    <t>Real</t>
  </si>
  <si>
    <t>Superavit</t>
  </si>
  <si>
    <t>Ingresos Directos</t>
  </si>
  <si>
    <t>Presupuesto</t>
  </si>
  <si>
    <t>Ppto. 2015</t>
  </si>
  <si>
    <t>Totales</t>
  </si>
  <si>
    <t>COOPEUCH Socios</t>
  </si>
  <si>
    <t>COOPEUCH Ptmos.</t>
  </si>
  <si>
    <t>INGRESOS</t>
  </si>
  <si>
    <t>Caja</t>
  </si>
  <si>
    <t>ENE.</t>
  </si>
  <si>
    <t>FEB.</t>
  </si>
  <si>
    <t>MAR.</t>
  </si>
  <si>
    <t>ABR.</t>
  </si>
  <si>
    <t>MAY.</t>
  </si>
  <si>
    <t>JUN.</t>
  </si>
  <si>
    <t>JUL.</t>
  </si>
  <si>
    <t>Acumulados</t>
  </si>
  <si>
    <t>Ejecución</t>
  </si>
  <si>
    <t>%</t>
  </si>
  <si>
    <t>Presupuestaria</t>
  </si>
  <si>
    <t>Honor. Administr.</t>
  </si>
  <si>
    <t>Ampliado</t>
  </si>
  <si>
    <t>AGO.</t>
  </si>
  <si>
    <t>Publicidad Página Web</t>
  </si>
  <si>
    <t>SEP.</t>
  </si>
  <si>
    <t>OCT.</t>
  </si>
  <si>
    <t>NOV.</t>
  </si>
  <si>
    <t>DIC.</t>
  </si>
  <si>
    <t>Ene-Dic.</t>
  </si>
  <si>
    <t>(12/12)</t>
  </si>
  <si>
    <t>Fuente</t>
  </si>
  <si>
    <t>Uso</t>
  </si>
  <si>
    <t>EJECUCION PRESUPUESTARIA - DICIEMBRE 2015</t>
  </si>
  <si>
    <t>Observaciones del Administrador:</t>
  </si>
  <si>
    <r>
      <rPr>
        <b/>
        <sz val="11"/>
        <color rgb="FF000000"/>
        <rFont val="Calibri"/>
        <family val="2"/>
      </rPr>
      <t>Superávit</t>
    </r>
    <r>
      <rPr>
        <sz val="11"/>
        <color rgb="FF000000"/>
        <rFont val="Calibri"/>
        <family val="2"/>
      </rPr>
      <t>: Nuestro proceso de ordenamiento y saneamiento de las cuentas de la Asociación superó los resultados esperados, considerando que hemos logrado un superavit para el año 2015 de $ 7.755.941.-</t>
    </r>
  </si>
  <si>
    <r>
      <rPr>
        <b/>
        <sz val="11"/>
        <color rgb="FF000000"/>
        <rFont val="Calibri"/>
        <family val="2"/>
      </rPr>
      <t>Ingresos</t>
    </r>
    <r>
      <rPr>
        <sz val="11"/>
        <color rgb="FF000000"/>
        <rFont val="Calibri"/>
        <family val="2"/>
      </rPr>
      <t>: Justifican estos mejores resultados, principalmente los mayores "Ingresos Directos" obtenidos por $ 28.471.992.-, donde se logró recaudar $ 8.540.644.- más de lo presupuestado en este item para</t>
    </r>
  </si>
  <si>
    <t xml:space="preserve">el año 2015, es decir un 42,9% más de la recaudación esperada. Esto obedece a la normalización de los procesos de descuentos y de cobranzas, para los valores no descontado y cobrado en períodos anteriores. </t>
  </si>
  <si>
    <t xml:space="preserve">que supera en $ 983.510.- al resultado presupuestado, lo cual significa un  14,5% más que el superavit esperado. </t>
  </si>
  <si>
    <t>Nacional realizado en Santiago, regalos del año anterior y de Fiestas Patrias, celebración del 15° Aniversario de la ANPTUF, Préstamos de Emergencia y otros; los cuales se encuentran reflejados en los tres</t>
  </si>
  <si>
    <t>últimos item de egresos. Así también, fue necesario cubrir algunas facturas de Movistar que venian retrasadas del ejercicio anterior.</t>
  </si>
  <si>
    <r>
      <rPr>
        <b/>
        <sz val="11"/>
        <color rgb="FF000000"/>
        <rFont val="Calibri"/>
        <family val="2"/>
      </rPr>
      <t>Egresos</t>
    </r>
    <r>
      <rPr>
        <sz val="11"/>
        <color rgb="FF000000"/>
        <rFont val="Calibri"/>
        <family val="2"/>
      </rPr>
      <t>: Los mayores ingresos obtenidos se utilizaron de inmediato, para financiar algunas necesidades Gremiales como la visita de nuestra Directiva Nacional a todas las Direcciones Regionales, el Ampliado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</si>
</sst>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8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00B050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0" fillId="6" borderId="0" xfId="0" applyFill="1" applyBorder="1"/>
    <xf numFmtId="0" fontId="0" fillId="7" borderId="1" xfId="0" applyFill="1" applyBorder="1"/>
    <xf numFmtId="164" fontId="0" fillId="7" borderId="1" xfId="0" applyNumberFormat="1" applyFill="1" applyBorder="1"/>
    <xf numFmtId="0" fontId="0" fillId="2" borderId="0" xfId="0" applyFill="1" applyAlignment="1">
      <alignment vertical="top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165" fontId="0" fillId="2" borderId="0" xfId="2" applyNumberFormat="1" applyFont="1" applyFill="1" applyAlignment="1">
      <alignment horizontal="center"/>
    </xf>
    <xf numFmtId="164" fontId="4" fillId="5" borderId="16" xfId="0" applyNumberFormat="1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164" fontId="4" fillId="5" borderId="16" xfId="1" applyNumberFormat="1" applyFont="1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center"/>
    </xf>
    <xf numFmtId="164" fontId="0" fillId="5" borderId="9" xfId="1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164" fontId="0" fillId="5" borderId="10" xfId="1" applyNumberFormat="1" applyFont="1" applyFill="1" applyBorder="1" applyAlignment="1">
      <alignment horizontal="center"/>
    </xf>
    <xf numFmtId="164" fontId="0" fillId="2" borderId="8" xfId="0" applyNumberFormat="1" applyFill="1" applyBorder="1"/>
    <xf numFmtId="164" fontId="0" fillId="2" borderId="9" xfId="0" applyNumberFormat="1" applyFill="1" applyBorder="1"/>
    <xf numFmtId="164" fontId="4" fillId="5" borderId="17" xfId="1" applyNumberFormat="1" applyFont="1" applyFill="1" applyBorder="1" applyAlignment="1">
      <alignment horizontal="center"/>
    </xf>
    <xf numFmtId="165" fontId="0" fillId="2" borderId="6" xfId="2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left"/>
    </xf>
    <xf numFmtId="164" fontId="0" fillId="5" borderId="9" xfId="1" applyNumberFormat="1" applyFont="1" applyFill="1" applyBorder="1" applyAlignment="1">
      <alignment horizontal="left"/>
    </xf>
    <xf numFmtId="164" fontId="0" fillId="5" borderId="10" xfId="1" applyNumberFormat="1" applyFont="1" applyFill="1" applyBorder="1" applyAlignment="1">
      <alignment horizontal="left"/>
    </xf>
    <xf numFmtId="164" fontId="2" fillId="2" borderId="6" xfId="0" applyNumberFormat="1" applyFont="1" applyFill="1" applyBorder="1"/>
    <xf numFmtId="164" fontId="0" fillId="5" borderId="11" xfId="1" applyNumberFormat="1" applyFont="1" applyFill="1" applyBorder="1" applyAlignment="1">
      <alignment horizontal="center"/>
    </xf>
    <xf numFmtId="164" fontId="0" fillId="5" borderId="5" xfId="1" applyNumberFormat="1" applyFont="1" applyFill="1" applyBorder="1" applyAlignment="1">
      <alignment horizontal="center"/>
    </xf>
    <xf numFmtId="164" fontId="0" fillId="5" borderId="14" xfId="1" applyNumberFormat="1" applyFont="1" applyFill="1" applyBorder="1" applyAlignment="1">
      <alignment horizontal="center"/>
    </xf>
    <xf numFmtId="0" fontId="3" fillId="5" borderId="10" xfId="0" applyFont="1" applyFill="1" applyBorder="1" applyAlignment="1">
      <alignment horizontal="left"/>
    </xf>
    <xf numFmtId="164" fontId="2" fillId="5" borderId="16" xfId="1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164" fontId="3" fillId="5" borderId="9" xfId="1" applyNumberFormat="1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164" fontId="1" fillId="10" borderId="9" xfId="1" applyNumberFormat="1" applyFont="1" applyFill="1" applyBorder="1" applyAlignment="1">
      <alignment horizontal="center"/>
    </xf>
    <xf numFmtId="164" fontId="1" fillId="10" borderId="9" xfId="0" applyNumberFormat="1" applyFont="1" applyFill="1" applyBorder="1" applyAlignment="1">
      <alignment horizontal="center"/>
    </xf>
    <xf numFmtId="164" fontId="1" fillId="10" borderId="0" xfId="0" applyNumberFormat="1" applyFont="1" applyFill="1" applyBorder="1" applyAlignment="1">
      <alignment horizontal="center"/>
    </xf>
    <xf numFmtId="165" fontId="0" fillId="2" borderId="12" xfId="2" applyNumberFormat="1" applyFont="1" applyFill="1" applyBorder="1" applyAlignment="1">
      <alignment horizontal="center"/>
    </xf>
    <xf numFmtId="165" fontId="0" fillId="2" borderId="13" xfId="2" applyNumberFormat="1" applyFont="1" applyFill="1" applyBorder="1" applyAlignment="1">
      <alignment horizontal="center"/>
    </xf>
    <xf numFmtId="165" fontId="0" fillId="2" borderId="15" xfId="2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164" fontId="0" fillId="10" borderId="1" xfId="0" applyNumberFormat="1" applyFill="1" applyBorder="1"/>
    <xf numFmtId="0" fontId="0" fillId="10" borderId="1" xfId="0" applyFill="1" applyBorder="1"/>
    <xf numFmtId="164" fontId="2" fillId="5" borderId="17" xfId="1" applyNumberFormat="1" applyFont="1" applyFill="1" applyBorder="1" applyAlignment="1">
      <alignment horizontal="center"/>
    </xf>
    <xf numFmtId="164" fontId="0" fillId="8" borderId="9" xfId="0" applyNumberFormat="1" applyFill="1" applyBorder="1"/>
    <xf numFmtId="164" fontId="5" fillId="5" borderId="9" xfId="1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4" fontId="0" fillId="5" borderId="12" xfId="1" applyNumberFormat="1" applyFont="1" applyFill="1" applyBorder="1" applyAlignment="1">
      <alignment horizontal="center"/>
    </xf>
    <xf numFmtId="164" fontId="0" fillId="5" borderId="13" xfId="1" applyNumberFormat="1" applyFont="1" applyFill="1" applyBorder="1" applyAlignment="1">
      <alignment horizontal="center"/>
    </xf>
    <xf numFmtId="164" fontId="0" fillId="5" borderId="15" xfId="1" applyNumberFormat="1" applyFont="1" applyFill="1" applyBorder="1" applyAlignment="1">
      <alignment horizontal="center"/>
    </xf>
    <xf numFmtId="164" fontId="0" fillId="6" borderId="9" xfId="0" applyNumberFormat="1" applyFill="1" applyBorder="1"/>
    <xf numFmtId="164" fontId="0" fillId="6" borderId="1" xfId="0" applyNumberFormat="1" applyFill="1" applyBorder="1"/>
    <xf numFmtId="164" fontId="0" fillId="9" borderId="9" xfId="0" applyNumberFormat="1" applyFill="1" applyBorder="1"/>
    <xf numFmtId="164" fontId="0" fillId="9" borderId="10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1" fillId="3" borderId="5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164027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0"/>
          <a:ext cx="1047750" cy="1116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49"/>
  <sheetViews>
    <sheetView tabSelected="1" zoomScale="75" zoomScaleNormal="75" workbookViewId="0">
      <selection activeCell="P38" sqref="P38"/>
    </sheetView>
  </sheetViews>
  <sheetFormatPr baseColWidth="10" defaultColWidth="9.140625" defaultRowHeight="15" x14ac:dyDescent="0.25"/>
  <cols>
    <col min="1" max="1" width="5.7109375" customWidth="1"/>
    <col min="2" max="2" width="15.7109375" customWidth="1"/>
    <col min="3" max="3" width="20.7109375" customWidth="1"/>
    <col min="4" max="15" width="12.7109375" bestFit="1" customWidth="1"/>
    <col min="16" max="16" width="13.85546875" bestFit="1" customWidth="1"/>
    <col min="17" max="17" width="13.28515625" customWidth="1"/>
    <col min="18" max="18" width="12.7109375" customWidth="1"/>
  </cols>
  <sheetData>
    <row r="3" spans="1:19" x14ac:dyDescent="0.25">
      <c r="B3" s="68" t="s">
        <v>57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1"/>
    </row>
    <row r="4" spans="1:19" x14ac:dyDescent="0.25"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1"/>
      <c r="Q4" s="1"/>
      <c r="R4" s="1"/>
      <c r="S4" s="1"/>
    </row>
    <row r="5" spans="1:19" x14ac:dyDescent="0.25"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1"/>
      <c r="Q5" s="1"/>
      <c r="R5" s="1"/>
      <c r="S5" s="1"/>
    </row>
    <row r="6" spans="1:19" x14ac:dyDescent="0.25"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1"/>
      <c r="Q6" s="1"/>
      <c r="R6" s="1"/>
      <c r="S6" s="1"/>
    </row>
    <row r="7" spans="1:19" x14ac:dyDescent="0.25"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1"/>
      <c r="Q7" s="1"/>
      <c r="R7" s="1"/>
      <c r="S7" s="1"/>
    </row>
    <row r="8" spans="1:19" x14ac:dyDescent="0.25">
      <c r="B8" s="7" t="s">
        <v>27</v>
      </c>
      <c r="C8" s="7" t="s">
        <v>32</v>
      </c>
      <c r="D8" s="7" t="s">
        <v>34</v>
      </c>
      <c r="E8" s="7" t="s">
        <v>35</v>
      </c>
      <c r="F8" s="7" t="s">
        <v>36</v>
      </c>
      <c r="G8" s="7" t="s">
        <v>37</v>
      </c>
      <c r="H8" s="7" t="s">
        <v>38</v>
      </c>
      <c r="I8" s="7" t="s">
        <v>39</v>
      </c>
      <c r="J8" s="7" t="s">
        <v>40</v>
      </c>
      <c r="K8" s="42" t="s">
        <v>47</v>
      </c>
      <c r="L8" s="7" t="s">
        <v>49</v>
      </c>
      <c r="M8" s="7" t="s">
        <v>50</v>
      </c>
      <c r="N8" s="7" t="s">
        <v>51</v>
      </c>
      <c r="O8" s="7" t="s">
        <v>52</v>
      </c>
      <c r="P8" s="7" t="s">
        <v>29</v>
      </c>
      <c r="Q8" s="7" t="s">
        <v>43</v>
      </c>
      <c r="R8" s="7" t="s">
        <v>11</v>
      </c>
      <c r="S8" s="1"/>
    </row>
    <row r="9" spans="1:19" x14ac:dyDescent="0.25">
      <c r="B9" s="8">
        <v>2015</v>
      </c>
      <c r="C9" s="8"/>
      <c r="D9" s="8" t="s">
        <v>24</v>
      </c>
      <c r="E9" s="8" t="s">
        <v>24</v>
      </c>
      <c r="F9" s="8" t="s">
        <v>24</v>
      </c>
      <c r="G9" s="8" t="s">
        <v>24</v>
      </c>
      <c r="H9" s="8" t="s">
        <v>24</v>
      </c>
      <c r="I9" s="8" t="s">
        <v>24</v>
      </c>
      <c r="J9" s="8" t="s">
        <v>24</v>
      </c>
      <c r="K9" s="6" t="s">
        <v>24</v>
      </c>
      <c r="L9" s="8" t="s">
        <v>24</v>
      </c>
      <c r="M9" s="8" t="s">
        <v>24</v>
      </c>
      <c r="N9" s="8" t="s">
        <v>24</v>
      </c>
      <c r="O9" s="8" t="s">
        <v>24</v>
      </c>
      <c r="P9" s="8" t="s">
        <v>41</v>
      </c>
      <c r="Q9" s="8" t="s">
        <v>42</v>
      </c>
      <c r="R9" s="43" t="s">
        <v>55</v>
      </c>
      <c r="S9" s="1"/>
    </row>
    <row r="10" spans="1:19" x14ac:dyDescent="0.25">
      <c r="B10" s="8"/>
      <c r="C10" s="8"/>
      <c r="D10" s="8"/>
      <c r="E10" s="8"/>
      <c r="F10" s="8"/>
      <c r="G10" s="8"/>
      <c r="H10" s="8"/>
      <c r="I10" s="8"/>
      <c r="J10" s="8"/>
      <c r="K10" s="6"/>
      <c r="L10" s="8"/>
      <c r="M10" s="8"/>
      <c r="N10" s="8"/>
      <c r="O10" s="8"/>
      <c r="P10" s="8" t="s">
        <v>53</v>
      </c>
      <c r="Q10" s="8" t="s">
        <v>44</v>
      </c>
      <c r="R10" s="11" t="s">
        <v>56</v>
      </c>
      <c r="S10" s="1"/>
    </row>
    <row r="11" spans="1:19" x14ac:dyDescent="0.25">
      <c r="B11" s="8"/>
      <c r="C11" s="43" t="s">
        <v>33</v>
      </c>
      <c r="D11" s="44">
        <v>24001</v>
      </c>
      <c r="E11" s="45">
        <f>+D11+D21-D36</f>
        <v>13332272</v>
      </c>
      <c r="F11" s="45">
        <f t="shared" ref="F11:O11" si="0">+E11+E21-E36</f>
        <v>26651939</v>
      </c>
      <c r="G11" s="45">
        <f t="shared" si="0"/>
        <v>3025557</v>
      </c>
      <c r="H11" s="45">
        <f t="shared" si="0"/>
        <v>10825398</v>
      </c>
      <c r="I11" s="45">
        <f t="shared" si="0"/>
        <v>7588459</v>
      </c>
      <c r="J11" s="45">
        <f t="shared" si="0"/>
        <v>4977864</v>
      </c>
      <c r="K11" s="46">
        <f t="shared" si="0"/>
        <v>5722416</v>
      </c>
      <c r="L11" s="45">
        <f t="shared" si="0"/>
        <v>6378471</v>
      </c>
      <c r="M11" s="45">
        <f t="shared" si="0"/>
        <v>6119339</v>
      </c>
      <c r="N11" s="45">
        <f t="shared" si="0"/>
        <v>6421637</v>
      </c>
      <c r="O11" s="45">
        <f t="shared" si="0"/>
        <v>7052511</v>
      </c>
      <c r="P11" s="8" t="s">
        <v>11</v>
      </c>
      <c r="Q11" s="8" t="s">
        <v>54</v>
      </c>
      <c r="R11" s="8" t="s">
        <v>11</v>
      </c>
      <c r="S11" s="1"/>
    </row>
    <row r="12" spans="1:19" x14ac:dyDescent="0.25">
      <c r="B12" s="9"/>
      <c r="C12" s="9"/>
      <c r="D12" s="9"/>
      <c r="E12" s="9"/>
      <c r="F12" s="9"/>
      <c r="G12" s="9"/>
      <c r="H12" s="9"/>
      <c r="I12" s="8"/>
      <c r="J12" s="9"/>
      <c r="K12" s="6"/>
      <c r="L12" s="8"/>
      <c r="M12" s="8"/>
      <c r="N12" s="8"/>
      <c r="O12" s="8"/>
      <c r="P12" s="8"/>
      <c r="Q12" s="12">
        <f>(12/12)</f>
        <v>1</v>
      </c>
      <c r="R12" s="9"/>
      <c r="S12" s="1"/>
    </row>
    <row r="13" spans="1:19" x14ac:dyDescent="0.25">
      <c r="A13">
        <v>254</v>
      </c>
      <c r="B13" s="17">
        <v>7574917</v>
      </c>
      <c r="C13" s="20" t="s">
        <v>10</v>
      </c>
      <c r="D13" s="17">
        <v>627070</v>
      </c>
      <c r="E13" s="17">
        <v>632833</v>
      </c>
      <c r="F13" s="17">
        <v>633493</v>
      </c>
      <c r="G13" s="17">
        <v>644489</v>
      </c>
      <c r="H13" s="35">
        <f>627032-2749</f>
        <v>624283</v>
      </c>
      <c r="I13" s="35">
        <v>637570</v>
      </c>
      <c r="J13" s="35">
        <v>637850</v>
      </c>
      <c r="K13" s="35">
        <v>660511</v>
      </c>
      <c r="L13" s="35">
        <v>669533</v>
      </c>
      <c r="M13" s="35">
        <v>674545</v>
      </c>
      <c r="N13" s="35">
        <v>700897</v>
      </c>
      <c r="O13" s="17">
        <v>704516</v>
      </c>
      <c r="P13" s="59">
        <f>SUM(D13:O13)</f>
        <v>7847590</v>
      </c>
      <c r="Q13" s="47">
        <f>+P13/B13</f>
        <v>1.0359968300642766</v>
      </c>
      <c r="R13" s="23">
        <f>+P13-B13</f>
        <v>272673</v>
      </c>
      <c r="S13" s="1"/>
    </row>
    <row r="14" spans="1:19" x14ac:dyDescent="0.25">
      <c r="A14">
        <v>162</v>
      </c>
      <c r="B14" s="18">
        <v>9677683</v>
      </c>
      <c r="C14" s="21" t="s">
        <v>30</v>
      </c>
      <c r="D14" s="18">
        <v>769570</v>
      </c>
      <c r="E14" s="18">
        <v>785095</v>
      </c>
      <c r="F14" s="18">
        <v>821101</v>
      </c>
      <c r="G14" s="18">
        <v>821101</v>
      </c>
      <c r="H14" s="36">
        <v>810816</v>
      </c>
      <c r="I14" s="36">
        <v>764746</v>
      </c>
      <c r="J14" s="36">
        <v>783706</v>
      </c>
      <c r="K14" s="36">
        <v>783706</v>
      </c>
      <c r="L14" s="36">
        <v>795556</v>
      </c>
      <c r="M14" s="36">
        <v>776596</v>
      </c>
      <c r="N14" s="36">
        <v>778966</v>
      </c>
      <c r="O14" s="18">
        <v>802666</v>
      </c>
      <c r="P14" s="60">
        <f>SUM(D14:O14)</f>
        <v>9493625</v>
      </c>
      <c r="Q14" s="48">
        <f t="shared" ref="Q14:Q38" si="1">+P14/B14</f>
        <v>0.9809811914690737</v>
      </c>
      <c r="R14" s="24">
        <f>+P14-B14</f>
        <v>-184058</v>
      </c>
      <c r="S14" s="1"/>
    </row>
    <row r="15" spans="1:19" x14ac:dyDescent="0.25">
      <c r="A15">
        <v>163</v>
      </c>
      <c r="B15" s="18">
        <v>29849281</v>
      </c>
      <c r="C15" s="21" t="s">
        <v>31</v>
      </c>
      <c r="D15" s="18">
        <v>2605321</v>
      </c>
      <c r="E15" s="18">
        <v>2322012</v>
      </c>
      <c r="F15" s="18">
        <v>2375258</v>
      </c>
      <c r="G15" s="18">
        <v>2572602</v>
      </c>
      <c r="H15" s="36">
        <v>2474088</v>
      </c>
      <c r="I15" s="36">
        <v>2474088</v>
      </c>
      <c r="J15" s="36">
        <v>2682511</v>
      </c>
      <c r="K15" s="36">
        <v>2476480</v>
      </c>
      <c r="L15" s="36">
        <v>2645067</v>
      </c>
      <c r="M15" s="36">
        <v>2913873</v>
      </c>
      <c r="N15" s="36">
        <v>3098051</v>
      </c>
      <c r="O15" s="18">
        <v>3193150</v>
      </c>
      <c r="P15" s="60">
        <f t="shared" ref="P15:P19" si="2">SUM(D15:O15)</f>
        <v>31832501</v>
      </c>
      <c r="Q15" s="48">
        <f t="shared" si="1"/>
        <v>1.0664411313625946</v>
      </c>
      <c r="R15" s="24">
        <f t="shared" ref="R15:R19" si="3">+P15-B15</f>
        <v>1983220</v>
      </c>
      <c r="S15" s="1"/>
    </row>
    <row r="16" spans="1:19" x14ac:dyDescent="0.25">
      <c r="A16">
        <v>331</v>
      </c>
      <c r="B16" s="18">
        <v>8756823</v>
      </c>
      <c r="C16" s="21" t="s">
        <v>13</v>
      </c>
      <c r="D16" s="18">
        <v>1720900</v>
      </c>
      <c r="E16" s="18">
        <v>1763021</v>
      </c>
      <c r="F16" s="18">
        <v>1793092</v>
      </c>
      <c r="G16" s="18">
        <v>1885108</v>
      </c>
      <c r="H16" s="36">
        <v>1594702</v>
      </c>
      <c r="I16" s="36">
        <v>1371256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18">
        <v>0</v>
      </c>
      <c r="P16" s="60">
        <f t="shared" si="2"/>
        <v>10128079</v>
      </c>
      <c r="Q16" s="48">
        <f t="shared" si="1"/>
        <v>1.1565928647866925</v>
      </c>
      <c r="R16" s="24">
        <f t="shared" si="3"/>
        <v>1371256</v>
      </c>
      <c r="S16" s="1"/>
    </row>
    <row r="17" spans="1:19" x14ac:dyDescent="0.25">
      <c r="A17">
        <v>353</v>
      </c>
      <c r="B17" s="18">
        <v>76612000</v>
      </c>
      <c r="C17" s="21" t="s">
        <v>14</v>
      </c>
      <c r="D17" s="18">
        <v>6198878</v>
      </c>
      <c r="E17" s="18">
        <v>6800613</v>
      </c>
      <c r="F17" s="18">
        <v>6727878</v>
      </c>
      <c r="G17" s="18">
        <v>6513164</v>
      </c>
      <c r="H17" s="36">
        <v>6271467</v>
      </c>
      <c r="I17" s="36">
        <v>6219106</v>
      </c>
      <c r="J17" s="36">
        <v>4999647</v>
      </c>
      <c r="K17" s="36">
        <f>6122300+18329</f>
        <v>6140629</v>
      </c>
      <c r="L17" s="36">
        <v>6299071</v>
      </c>
      <c r="M17" s="36">
        <v>6267851</v>
      </c>
      <c r="N17" s="36">
        <v>6750237</v>
      </c>
      <c r="O17" s="18">
        <v>6491594</v>
      </c>
      <c r="P17" s="60">
        <f t="shared" si="2"/>
        <v>75680135</v>
      </c>
      <c r="Q17" s="48">
        <f t="shared" si="1"/>
        <v>0.98783656607320003</v>
      </c>
      <c r="R17" s="24">
        <f t="shared" si="3"/>
        <v>-931865</v>
      </c>
      <c r="S17" s="1"/>
    </row>
    <row r="18" spans="1:19" x14ac:dyDescent="0.25">
      <c r="A18">
        <v>354</v>
      </c>
      <c r="B18" s="18">
        <v>2937000</v>
      </c>
      <c r="C18" s="21" t="s">
        <v>15</v>
      </c>
      <c r="D18" s="18">
        <v>242000</v>
      </c>
      <c r="E18" s="18">
        <v>253000</v>
      </c>
      <c r="F18" s="18">
        <v>253000</v>
      </c>
      <c r="G18" s="18">
        <v>253000</v>
      </c>
      <c r="H18" s="36">
        <v>242000</v>
      </c>
      <c r="I18" s="36">
        <v>136000</v>
      </c>
      <c r="J18" s="36">
        <v>262500</v>
      </c>
      <c r="K18" s="36">
        <v>262500</v>
      </c>
      <c r="L18" s="36">
        <v>257000</v>
      </c>
      <c r="M18" s="36">
        <v>0</v>
      </c>
      <c r="N18" s="36">
        <v>0</v>
      </c>
      <c r="O18" s="18">
        <v>0</v>
      </c>
      <c r="P18" s="60">
        <f t="shared" si="2"/>
        <v>2161000</v>
      </c>
      <c r="Q18" s="48">
        <f t="shared" si="1"/>
        <v>0.73578481443649979</v>
      </c>
      <c r="R18" s="24">
        <f t="shared" si="3"/>
        <v>-776000</v>
      </c>
      <c r="S18" s="1"/>
    </row>
    <row r="19" spans="1:19" x14ac:dyDescent="0.25">
      <c r="B19" s="18">
        <v>19931348</v>
      </c>
      <c r="C19" s="21" t="s">
        <v>26</v>
      </c>
      <c r="D19" s="18">
        <v>1144532</v>
      </c>
      <c r="E19" s="18">
        <v>763093</v>
      </c>
      <c r="F19" s="18">
        <v>2208897</v>
      </c>
      <c r="G19" s="18">
        <v>2867254</v>
      </c>
      <c r="H19" s="36">
        <v>2131348</v>
      </c>
      <c r="I19" s="36">
        <v>2665259</v>
      </c>
      <c r="J19" s="36">
        <v>3141247</v>
      </c>
      <c r="K19" s="36">
        <v>2217642</v>
      </c>
      <c r="L19" s="36">
        <v>2900753</v>
      </c>
      <c r="M19" s="36">
        <v>3086219</v>
      </c>
      <c r="N19" s="36">
        <v>2144703</v>
      </c>
      <c r="O19" s="18">
        <v>3201045</v>
      </c>
      <c r="P19" s="60">
        <f t="shared" si="2"/>
        <v>28471992</v>
      </c>
      <c r="Q19" s="48">
        <f t="shared" si="1"/>
        <v>1.4285030796712797</v>
      </c>
      <c r="R19" s="54">
        <f t="shared" si="3"/>
        <v>8540644</v>
      </c>
      <c r="S19" s="1"/>
    </row>
    <row r="20" spans="1:19" x14ac:dyDescent="0.25">
      <c r="B20" s="50" t="s">
        <v>11</v>
      </c>
      <c r="C20" s="38" t="s">
        <v>48</v>
      </c>
      <c r="D20" s="22" t="s">
        <v>11</v>
      </c>
      <c r="E20" s="22" t="s">
        <v>11</v>
      </c>
      <c r="F20" s="22" t="s">
        <v>11</v>
      </c>
      <c r="G20" s="22" t="s">
        <v>11</v>
      </c>
      <c r="H20" s="37"/>
      <c r="I20" s="37" t="s">
        <v>11</v>
      </c>
      <c r="J20" s="37">
        <v>120000</v>
      </c>
      <c r="K20" s="37" t="s">
        <v>11</v>
      </c>
      <c r="L20" s="37">
        <v>0</v>
      </c>
      <c r="M20" s="37">
        <v>120000</v>
      </c>
      <c r="N20" s="37">
        <v>0</v>
      </c>
      <c r="O20" s="22">
        <v>0</v>
      </c>
      <c r="P20" s="61">
        <f>SUM(D20:O20)</f>
        <v>240000</v>
      </c>
      <c r="Q20" s="48" t="s">
        <v>11</v>
      </c>
      <c r="R20" s="62">
        <v>240000</v>
      </c>
      <c r="S20" s="1"/>
    </row>
    <row r="21" spans="1:19" ht="15.75" thickBot="1" x14ac:dyDescent="0.3">
      <c r="B21" s="14">
        <f>SUM(B13:B20)</f>
        <v>155339052</v>
      </c>
      <c r="C21" s="15" t="s">
        <v>29</v>
      </c>
      <c r="D21" s="16">
        <f t="shared" ref="D21:P21" si="4">SUM(D13:D20)</f>
        <v>13308271</v>
      </c>
      <c r="E21" s="16">
        <f t="shared" si="4"/>
        <v>13319667</v>
      </c>
      <c r="F21" s="16">
        <f t="shared" si="4"/>
        <v>14812719</v>
      </c>
      <c r="G21" s="16">
        <f t="shared" si="4"/>
        <v>15556718</v>
      </c>
      <c r="H21" s="16">
        <f t="shared" si="4"/>
        <v>14148704</v>
      </c>
      <c r="I21" s="16">
        <f t="shared" si="4"/>
        <v>14268025</v>
      </c>
      <c r="J21" s="39">
        <f t="shared" si="4"/>
        <v>12627461</v>
      </c>
      <c r="K21" s="39">
        <f t="shared" ref="K21" si="5">SUM(K13:K20)</f>
        <v>12541468</v>
      </c>
      <c r="L21" s="39">
        <f t="shared" ref="L21" si="6">SUM(L13:L20)</f>
        <v>13566980</v>
      </c>
      <c r="M21" s="53">
        <f>SUM(M13:M20)</f>
        <v>13839084</v>
      </c>
      <c r="N21" s="53">
        <f>SUM(N13:N20)</f>
        <v>13472854</v>
      </c>
      <c r="O21" s="53">
        <f>SUM(O13:O20)</f>
        <v>14392971</v>
      </c>
      <c r="P21" s="25">
        <f t="shared" si="4"/>
        <v>165854922</v>
      </c>
      <c r="Q21" s="26">
        <f t="shared" si="1"/>
        <v>1.0676962416379365</v>
      </c>
      <c r="R21" s="34">
        <f>+B21-P21</f>
        <v>-10515870</v>
      </c>
      <c r="S21" s="1"/>
    </row>
    <row r="22" spans="1:19" x14ac:dyDescent="0.25"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2"/>
      <c r="N22" s="2"/>
      <c r="O22" s="2"/>
      <c r="P22" s="1"/>
      <c r="Q22" s="13" t="s">
        <v>11</v>
      </c>
      <c r="R22" s="1"/>
      <c r="S22" s="1"/>
    </row>
    <row r="23" spans="1:19" x14ac:dyDescent="0.25">
      <c r="B23" s="28" t="s">
        <v>28</v>
      </c>
      <c r="C23" s="29" t="s">
        <v>17</v>
      </c>
      <c r="D23" s="56" t="s">
        <v>0</v>
      </c>
      <c r="E23" s="57" t="s">
        <v>1</v>
      </c>
      <c r="F23" s="57" t="s">
        <v>2</v>
      </c>
      <c r="G23" s="57" t="s">
        <v>3</v>
      </c>
      <c r="H23" s="57" t="s">
        <v>7</v>
      </c>
      <c r="I23" s="57" t="s">
        <v>4</v>
      </c>
      <c r="J23" s="57" t="s">
        <v>5</v>
      </c>
      <c r="K23" s="57" t="s">
        <v>6</v>
      </c>
      <c r="L23" s="57" t="s">
        <v>8</v>
      </c>
      <c r="M23" s="58"/>
      <c r="N23" s="10"/>
      <c r="O23" s="10"/>
      <c r="P23" s="7" t="s">
        <v>9</v>
      </c>
      <c r="Q23" s="27" t="s">
        <v>42</v>
      </c>
      <c r="R23" s="27" t="s">
        <v>11</v>
      </c>
      <c r="S23" s="1"/>
    </row>
    <row r="24" spans="1:19" x14ac:dyDescent="0.25">
      <c r="B24" s="31">
        <v>2014148</v>
      </c>
      <c r="C24" s="20" t="s">
        <v>19</v>
      </c>
      <c r="D24" s="18" t="s">
        <v>11</v>
      </c>
      <c r="E24" s="18" t="s">
        <v>11</v>
      </c>
      <c r="F24" s="18">
        <v>436937</v>
      </c>
      <c r="G24" s="55" t="s">
        <v>11</v>
      </c>
      <c r="H24" s="36">
        <f>147211+30000</f>
        <v>177211</v>
      </c>
      <c r="I24" s="36">
        <v>289267</v>
      </c>
      <c r="J24" s="36">
        <v>147196</v>
      </c>
      <c r="K24" s="36">
        <v>156655</v>
      </c>
      <c r="L24" s="36">
        <v>154507</v>
      </c>
      <c r="M24" s="35">
        <f>155664+406944</f>
        <v>562608</v>
      </c>
      <c r="N24" s="35">
        <v>161745</v>
      </c>
      <c r="O24" s="17">
        <v>162581</v>
      </c>
      <c r="P24" s="59">
        <f>SUM(D24:O24)</f>
        <v>2248707</v>
      </c>
      <c r="Q24" s="47">
        <f t="shared" si="1"/>
        <v>1.1164556924317379</v>
      </c>
      <c r="R24" s="23">
        <f t="shared" ref="R24:R36" si="7">+B24-P24</f>
        <v>-234559</v>
      </c>
      <c r="S24" s="1"/>
    </row>
    <row r="25" spans="1:19" x14ac:dyDescent="0.25">
      <c r="B25" s="32">
        <v>39915001</v>
      </c>
      <c r="C25" s="21" t="s">
        <v>12</v>
      </c>
      <c r="D25" s="18" t="s">
        <v>11</v>
      </c>
      <c r="E25" s="18"/>
      <c r="F25" s="18">
        <f>3374891+3107107+3196359</f>
        <v>9678357</v>
      </c>
      <c r="G25" s="18">
        <f>821101+2572602</f>
        <v>3393703</v>
      </c>
      <c r="H25" s="36">
        <f>764746+2278195</f>
        <v>3042941</v>
      </c>
      <c r="I25" s="36">
        <v>3238834</v>
      </c>
      <c r="J25" s="36">
        <v>3466217</v>
      </c>
      <c r="K25" s="36">
        <v>3260186</v>
      </c>
      <c r="L25" s="36">
        <v>3440623</v>
      </c>
      <c r="M25" s="36">
        <f>776596+2913873</f>
        <v>3690469</v>
      </c>
      <c r="N25" s="36">
        <f>195893+778966+3098051</f>
        <v>4072910</v>
      </c>
      <c r="O25" s="18">
        <f>+O14+O15</f>
        <v>3995816</v>
      </c>
      <c r="P25" s="60">
        <f>SUM(D25:O25)</f>
        <v>41280056</v>
      </c>
      <c r="Q25" s="48">
        <f t="shared" si="1"/>
        <v>1.0341990471201541</v>
      </c>
      <c r="R25" s="24">
        <f t="shared" si="7"/>
        <v>-1365055</v>
      </c>
      <c r="S25" s="1"/>
    </row>
    <row r="26" spans="1:19" x14ac:dyDescent="0.25">
      <c r="B26" s="32">
        <v>13649668</v>
      </c>
      <c r="C26" s="21" t="s">
        <v>13</v>
      </c>
      <c r="D26" s="18" t="s">
        <v>11</v>
      </c>
      <c r="E26" s="18" t="s">
        <v>11</v>
      </c>
      <c r="F26" s="18">
        <f>2212039+2209601+2260880</f>
        <v>6682520</v>
      </c>
      <c r="G26" s="18">
        <v>2333937</v>
      </c>
      <c r="H26" s="36">
        <v>2283211</v>
      </c>
      <c r="I26" s="36">
        <f>1851303+44069</f>
        <v>1895372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18">
        <v>0</v>
      </c>
      <c r="P26" s="60">
        <f t="shared" ref="P26:P34" si="8">SUM(D26:O26)</f>
        <v>13195040</v>
      </c>
      <c r="Q26" s="48">
        <f t="shared" si="1"/>
        <v>0.96669310931225583</v>
      </c>
      <c r="R26" s="24">
        <f t="shared" si="7"/>
        <v>454628</v>
      </c>
      <c r="S26" s="1"/>
    </row>
    <row r="27" spans="1:19" x14ac:dyDescent="0.25">
      <c r="B27" s="32">
        <v>78066882</v>
      </c>
      <c r="C27" s="21" t="s">
        <v>14</v>
      </c>
      <c r="D27" s="18" t="s">
        <v>11</v>
      </c>
      <c r="E27" s="18" t="s">
        <v>11</v>
      </c>
      <c r="F27" s="18">
        <f>6199878+6800613+6727878</f>
        <v>19728369</v>
      </c>
      <c r="G27" s="18" t="s">
        <v>11</v>
      </c>
      <c r="H27" s="36">
        <f>4011237+6727276</f>
        <v>10738513</v>
      </c>
      <c r="I27" s="36">
        <v>9715077</v>
      </c>
      <c r="J27" s="36">
        <v>6184967</v>
      </c>
      <c r="K27" s="36">
        <v>6093948</v>
      </c>
      <c r="L27" s="36">
        <v>8013367</v>
      </c>
      <c r="M27" s="36">
        <v>7747928</v>
      </c>
      <c r="N27" s="36">
        <v>6882240</v>
      </c>
      <c r="O27" s="18">
        <v>7713927</v>
      </c>
      <c r="P27" s="60">
        <f t="shared" si="8"/>
        <v>82818336</v>
      </c>
      <c r="Q27" s="48">
        <f t="shared" si="1"/>
        <v>1.0608638884796244</v>
      </c>
      <c r="R27" s="64">
        <f t="shared" si="7"/>
        <v>-4751454</v>
      </c>
      <c r="S27" s="1"/>
    </row>
    <row r="28" spans="1:19" x14ac:dyDescent="0.25">
      <c r="B28" s="32">
        <v>3300000</v>
      </c>
      <c r="C28" s="21" t="s">
        <v>15</v>
      </c>
      <c r="D28" s="18" t="s">
        <v>11</v>
      </c>
      <c r="E28" s="18" t="s">
        <v>11</v>
      </c>
      <c r="F28" s="18">
        <v>825000</v>
      </c>
      <c r="G28" s="18">
        <v>275000</v>
      </c>
      <c r="H28" s="36">
        <v>275000</v>
      </c>
      <c r="I28" s="36">
        <v>273500</v>
      </c>
      <c r="J28" s="36">
        <v>290000</v>
      </c>
      <c r="K28" s="36">
        <v>295500</v>
      </c>
      <c r="L28" s="36">
        <v>257000</v>
      </c>
      <c r="M28" s="36">
        <v>0</v>
      </c>
      <c r="N28" s="36">
        <v>0</v>
      </c>
      <c r="O28" s="18">
        <v>0</v>
      </c>
      <c r="P28" s="60">
        <f t="shared" si="8"/>
        <v>2491000</v>
      </c>
      <c r="Q28" s="48">
        <f t="shared" si="1"/>
        <v>0.75484848484848488</v>
      </c>
      <c r="R28" s="24">
        <f t="shared" si="7"/>
        <v>809000</v>
      </c>
      <c r="S28" s="1"/>
    </row>
    <row r="29" spans="1:19" x14ac:dyDescent="0.25">
      <c r="B29" s="32">
        <f>8562495+247646-4000000</f>
        <v>4810141</v>
      </c>
      <c r="C29" s="21" t="s">
        <v>18</v>
      </c>
      <c r="D29" s="18" t="s">
        <v>11</v>
      </c>
      <c r="E29" s="18" t="s">
        <v>11</v>
      </c>
      <c r="F29" s="18">
        <f>436148+426380+125390</f>
        <v>987918</v>
      </c>
      <c r="G29" s="18">
        <v>122256</v>
      </c>
      <c r="H29" s="36">
        <f>153499+133333</f>
        <v>286832</v>
      </c>
      <c r="I29" s="36">
        <f>1336570-496526</f>
        <v>840044</v>
      </c>
      <c r="J29" s="36">
        <v>514125</v>
      </c>
      <c r="K29" s="36">
        <v>446764</v>
      </c>
      <c r="L29" s="36">
        <v>429002</v>
      </c>
      <c r="M29" s="36">
        <f>119863+443985</f>
        <v>563848</v>
      </c>
      <c r="N29" s="36">
        <f>124051+40000+327929</f>
        <v>491980</v>
      </c>
      <c r="O29" s="18">
        <f>102800+100000+353260</f>
        <v>556060</v>
      </c>
      <c r="P29" s="60">
        <f t="shared" si="8"/>
        <v>5238829</v>
      </c>
      <c r="Q29" s="48">
        <f t="shared" si="1"/>
        <v>1.0891217118167638</v>
      </c>
      <c r="R29" s="24">
        <f t="shared" si="7"/>
        <v>-428688</v>
      </c>
      <c r="S29" s="1"/>
    </row>
    <row r="30" spans="1:19" x14ac:dyDescent="0.25">
      <c r="B30" s="32">
        <v>4000000</v>
      </c>
      <c r="C30" s="40" t="s">
        <v>45</v>
      </c>
      <c r="D30" s="18"/>
      <c r="E30" s="18"/>
      <c r="F30" s="41" t="s">
        <v>11</v>
      </c>
      <c r="G30" s="41" t="s">
        <v>11</v>
      </c>
      <c r="H30" s="36">
        <v>413135</v>
      </c>
      <c r="I30" s="36">
        <v>496526</v>
      </c>
      <c r="J30" s="36">
        <f>300000+200000</f>
        <v>500000</v>
      </c>
      <c r="K30" s="36">
        <v>632646</v>
      </c>
      <c r="L30" s="36">
        <v>735113</v>
      </c>
      <c r="M30" s="36">
        <v>762933</v>
      </c>
      <c r="N30" s="36">
        <v>621705</v>
      </c>
      <c r="O30" s="18">
        <f>200000+580156</f>
        <v>780156</v>
      </c>
      <c r="P30" s="60">
        <f t="shared" si="8"/>
        <v>4942214</v>
      </c>
      <c r="Q30" s="48">
        <f t="shared" si="1"/>
        <v>1.2355535</v>
      </c>
      <c r="R30" s="24">
        <f t="shared" si="7"/>
        <v>-942214</v>
      </c>
      <c r="S30" s="1"/>
    </row>
    <row r="31" spans="1:19" x14ac:dyDescent="0.25">
      <c r="B31" s="32">
        <v>1000000</v>
      </c>
      <c r="C31" s="21" t="s">
        <v>20</v>
      </c>
      <c r="D31" s="18" t="s">
        <v>11</v>
      </c>
      <c r="E31" s="18" t="s">
        <v>11</v>
      </c>
      <c r="F31" s="18">
        <v>100000</v>
      </c>
      <c r="G31" s="18">
        <v>100000</v>
      </c>
      <c r="H31" s="36">
        <v>100000</v>
      </c>
      <c r="I31" s="36">
        <v>100000</v>
      </c>
      <c r="J31" s="36">
        <v>100000</v>
      </c>
      <c r="K31" s="36">
        <v>100000</v>
      </c>
      <c r="L31" s="36">
        <v>100000</v>
      </c>
      <c r="M31" s="36">
        <v>100000</v>
      </c>
      <c r="N31" s="36">
        <v>100000</v>
      </c>
      <c r="O31" s="18">
        <v>100000</v>
      </c>
      <c r="P31" s="60">
        <f t="shared" si="8"/>
        <v>1000000</v>
      </c>
      <c r="Q31" s="48">
        <f t="shared" si="1"/>
        <v>1</v>
      </c>
      <c r="R31" s="24">
        <f t="shared" si="7"/>
        <v>0</v>
      </c>
      <c r="S31" s="1"/>
    </row>
    <row r="32" spans="1:19" x14ac:dyDescent="0.25">
      <c r="B32" s="32">
        <v>300000</v>
      </c>
      <c r="C32" s="21" t="s">
        <v>21</v>
      </c>
      <c r="D32" s="18"/>
      <c r="E32" s="18"/>
      <c r="F32" s="18"/>
      <c r="G32" s="18">
        <v>60000</v>
      </c>
      <c r="H32" s="36">
        <v>30000</v>
      </c>
      <c r="I32" s="36">
        <v>30000</v>
      </c>
      <c r="J32" s="36">
        <v>30000</v>
      </c>
      <c r="K32" s="36">
        <v>80000</v>
      </c>
      <c r="L32" s="36">
        <f>60000+70000</f>
        <v>130000</v>
      </c>
      <c r="M32" s="36">
        <v>30000</v>
      </c>
      <c r="N32" s="36">
        <v>30000</v>
      </c>
      <c r="O32" s="18">
        <v>40000</v>
      </c>
      <c r="P32" s="60">
        <f t="shared" si="8"/>
        <v>460000</v>
      </c>
      <c r="Q32" s="48">
        <f t="shared" si="1"/>
        <v>1.5333333333333334</v>
      </c>
      <c r="R32" s="24">
        <f t="shared" si="7"/>
        <v>-160000</v>
      </c>
      <c r="S32" s="1"/>
    </row>
    <row r="33" spans="2:19" x14ac:dyDescent="0.25">
      <c r="B33" s="32">
        <v>1192000</v>
      </c>
      <c r="C33" s="21" t="s">
        <v>22</v>
      </c>
      <c r="D33" s="18"/>
      <c r="E33" s="18"/>
      <c r="F33" s="18"/>
      <c r="G33" s="18">
        <v>1192000</v>
      </c>
      <c r="H33" s="36"/>
      <c r="I33" s="36"/>
      <c r="J33" s="36"/>
      <c r="K33" s="36"/>
      <c r="L33" s="36">
        <v>320000</v>
      </c>
      <c r="M33" s="36">
        <v>0</v>
      </c>
      <c r="N33" s="36">
        <f>8000+395400</f>
        <v>403400</v>
      </c>
      <c r="O33" s="18">
        <f>153000+17000+17000</f>
        <v>187000</v>
      </c>
      <c r="P33" s="60">
        <f t="shared" si="8"/>
        <v>2102400</v>
      </c>
      <c r="Q33" s="48">
        <f t="shared" si="1"/>
        <v>1.763758389261745</v>
      </c>
      <c r="R33" s="64">
        <f t="shared" si="7"/>
        <v>-910400</v>
      </c>
      <c r="S33" s="1"/>
    </row>
    <row r="34" spans="2:19" x14ac:dyDescent="0.25">
      <c r="B34" s="32">
        <v>0</v>
      </c>
      <c r="C34" s="21" t="s">
        <v>46</v>
      </c>
      <c r="D34" s="18"/>
      <c r="E34" s="18"/>
      <c r="F34" s="18"/>
      <c r="G34" s="18"/>
      <c r="H34" s="36"/>
      <c r="I34" s="36"/>
      <c r="J34" s="36"/>
      <c r="K34" s="36">
        <f>260000+28880+56000+40000</f>
        <v>384880</v>
      </c>
      <c r="L34" s="36">
        <f>28500+218000</f>
        <v>246500</v>
      </c>
      <c r="M34" s="36">
        <v>31500</v>
      </c>
      <c r="N34" s="36">
        <v>0</v>
      </c>
      <c r="O34" s="18">
        <v>0</v>
      </c>
      <c r="P34" s="60">
        <f t="shared" si="8"/>
        <v>662880</v>
      </c>
      <c r="Q34" s="48" t="s">
        <v>11</v>
      </c>
      <c r="R34" s="64">
        <f t="shared" ref="R34" si="9">+B34-P34</f>
        <v>-662880</v>
      </c>
      <c r="S34" s="1"/>
    </row>
    <row r="35" spans="2:19" x14ac:dyDescent="0.25">
      <c r="B35" s="33">
        <v>318781</v>
      </c>
      <c r="C35" s="19" t="s">
        <v>23</v>
      </c>
      <c r="D35" s="22" t="s">
        <v>11</v>
      </c>
      <c r="E35" s="22" t="s">
        <v>11</v>
      </c>
      <c r="F35" s="22" t="s">
        <v>11</v>
      </c>
      <c r="G35" s="22">
        <v>279981</v>
      </c>
      <c r="H35" s="37">
        <v>38800</v>
      </c>
      <c r="I35" s="37">
        <v>0</v>
      </c>
      <c r="J35" s="37">
        <f>442404+208000</f>
        <v>650404</v>
      </c>
      <c r="K35" s="37">
        <f>9430+150000+88000+70004+42400+75000</f>
        <v>434834</v>
      </c>
      <c r="L35" s="37">
        <v>0</v>
      </c>
      <c r="M35" s="37">
        <v>47500</v>
      </c>
      <c r="N35" s="37">
        <f>30000+48000</f>
        <v>78000</v>
      </c>
      <c r="O35" s="22">
        <f>30000+100000</f>
        <v>130000</v>
      </c>
      <c r="P35" s="61">
        <f>SUM(D35:O35)</f>
        <v>1659519</v>
      </c>
      <c r="Q35" s="49">
        <f t="shared" si="1"/>
        <v>5.2058278253722774</v>
      </c>
      <c r="R35" s="65">
        <f t="shared" si="7"/>
        <v>-1340738</v>
      </c>
      <c r="S35" s="1"/>
    </row>
    <row r="36" spans="2:19" ht="15.75" thickBot="1" x14ac:dyDescent="0.3">
      <c r="B36" s="14">
        <f>SUM(B24:B35)</f>
        <v>148566621</v>
      </c>
      <c r="C36" s="30" t="s">
        <v>16</v>
      </c>
      <c r="D36" s="16">
        <f>SUM(D24:D35)</f>
        <v>0</v>
      </c>
      <c r="E36" s="16">
        <f t="shared" ref="E36:P36" si="10">SUM(E24:E35)</f>
        <v>0</v>
      </c>
      <c r="F36" s="16">
        <f t="shared" si="10"/>
        <v>38439101</v>
      </c>
      <c r="G36" s="16">
        <f t="shared" si="10"/>
        <v>7756877</v>
      </c>
      <c r="H36" s="16">
        <f t="shared" si="10"/>
        <v>17385643</v>
      </c>
      <c r="I36" s="16">
        <f t="shared" si="10"/>
        <v>16878620</v>
      </c>
      <c r="J36" s="16">
        <f t="shared" si="10"/>
        <v>11882909</v>
      </c>
      <c r="K36" s="16">
        <f t="shared" ref="K36" si="11">SUM(K24:K35)</f>
        <v>11885413</v>
      </c>
      <c r="L36" s="16">
        <f t="shared" ref="L36" si="12">SUM(L24:L35)</f>
        <v>13826112</v>
      </c>
      <c r="M36" s="25">
        <f>SUM(M24:M35)</f>
        <v>13536786</v>
      </c>
      <c r="N36" s="25">
        <f>SUM(N24:N35)</f>
        <v>12841980</v>
      </c>
      <c r="O36" s="25">
        <f>SUM(O24:O35)</f>
        <v>13665540</v>
      </c>
      <c r="P36" s="25">
        <f t="shared" si="10"/>
        <v>158098981</v>
      </c>
      <c r="Q36" s="26">
        <f t="shared" si="1"/>
        <v>1.064162191586763</v>
      </c>
      <c r="R36" s="34">
        <f t="shared" si="7"/>
        <v>-9532360</v>
      </c>
      <c r="S36" s="1"/>
    </row>
    <row r="37" spans="2:19" ht="15.75" thickBo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2:19" ht="15.75" thickBot="1" x14ac:dyDescent="0.3">
      <c r="B38" s="51">
        <f>+B21-B36</f>
        <v>6772431</v>
      </c>
      <c r="C38" s="52" t="s">
        <v>25</v>
      </c>
      <c r="D38" s="3"/>
      <c r="E38" s="3"/>
      <c r="F38" s="4">
        <f>+D21+E21+F21-F36</f>
        <v>3001556</v>
      </c>
      <c r="G38" s="4">
        <f>+G21-G36</f>
        <v>7799841</v>
      </c>
      <c r="H38" s="4">
        <f>+H21-H36</f>
        <v>-3236939</v>
      </c>
      <c r="I38" s="4">
        <f t="shared" ref="I38:J38" si="13">+I21-I36</f>
        <v>-2610595</v>
      </c>
      <c r="J38" s="51">
        <f t="shared" si="13"/>
        <v>744552</v>
      </c>
      <c r="K38" s="51">
        <f t="shared" ref="K38" si="14">+K21-K36</f>
        <v>656055</v>
      </c>
      <c r="L38" s="51">
        <f t="shared" ref="L38:O38" si="15">+L21-L36</f>
        <v>-259132</v>
      </c>
      <c r="M38" s="51">
        <f t="shared" si="15"/>
        <v>302298</v>
      </c>
      <c r="N38" s="51">
        <f t="shared" si="15"/>
        <v>630874</v>
      </c>
      <c r="O38" s="51">
        <f t="shared" si="15"/>
        <v>727431</v>
      </c>
      <c r="P38" s="51">
        <f>+P21-P36</f>
        <v>7755941</v>
      </c>
      <c r="Q38" s="26">
        <f t="shared" si="1"/>
        <v>1.1452225943682557</v>
      </c>
      <c r="R38" s="63">
        <f>+R21-R36</f>
        <v>-983510</v>
      </c>
      <c r="S38" s="1"/>
    </row>
    <row r="39" spans="2:19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2:19" x14ac:dyDescent="0.25">
      <c r="B41" s="66" t="s">
        <v>58</v>
      </c>
      <c r="C41" s="6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2:19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2:19" x14ac:dyDescent="0.25">
      <c r="B43" s="67" t="s">
        <v>59</v>
      </c>
      <c r="C43" s="1"/>
      <c r="D43" s="1"/>
      <c r="E43" s="1"/>
      <c r="F43" s="1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2:19" x14ac:dyDescent="0.25">
      <c r="B44" s="67" t="s">
        <v>62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19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19" x14ac:dyDescent="0.25">
      <c r="B46" s="67" t="s">
        <v>60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2:19" x14ac:dyDescent="0.25">
      <c r="B47" s="67" t="s">
        <v>61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2:19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2:19" x14ac:dyDescent="0.25">
      <c r="B49" s="67" t="s">
        <v>65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2:19" x14ac:dyDescent="0.25">
      <c r="B50" s="67" t="s">
        <v>63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2:19" x14ac:dyDescent="0.25">
      <c r="B51" s="67" t="s">
        <v>64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2:19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2:19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2:19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2:19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2:19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2:19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2:19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2:19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2:19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2:19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2:19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2:19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2:19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2:19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2:19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2:19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2:19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2:19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2:19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2:19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2:19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2:19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2:19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2:19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2:19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2:19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2:19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2:19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2:19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2:19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2:19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2:19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2:19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2:19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2:19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2:19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2:19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2:19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2:19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2:19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2:19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2:19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2:19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2:19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2:19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2:19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2:19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2:19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2:19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2:19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2:19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2:19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2:19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2:19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2:19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2:19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2:19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2:19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2:19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2:19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2:19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2:19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2:19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2:19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2:19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2:19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2:19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2:19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2:19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2:19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2:19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2:19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2:19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2:19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2:19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2:19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2:19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2:19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2:19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2:19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2:19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2:19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2:19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2:19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2:19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2:19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2:19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2:19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2:19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2:19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2:19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2:19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2:19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2:19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2:19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2:19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2:19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2:19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</sheetData>
  <mergeCells count="1">
    <mergeCell ref="B3:R3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Cuenta Corriente 671</dc:title>
  <dc:subject>Cuenta Corriente 671</dc:subject>
  <dc:creator>2080Sys</dc:creator>
  <dc:description>Cuenta Corriente 671</dc:description>
  <cp:lastModifiedBy>ANPTUF(Asociación de Profesionales)</cp:lastModifiedBy>
  <dcterms:created xsi:type="dcterms:W3CDTF">2015-05-12T14:42:48Z</dcterms:created>
  <dcterms:modified xsi:type="dcterms:W3CDTF">2016-01-14T12:34:52Z</dcterms:modified>
</cp:coreProperties>
</file>